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18" sheetId="1" r:id="rId1"/>
  </sheets>
  <externalReferences>
    <externalReference r:id="rId4"/>
  </externalReferences>
  <definedNames>
    <definedName name="_xlnm.Print_Area" localSheetId="0">'St.18'!$A$1:$I$61</definedName>
    <definedName name="_xlnm.Print_Titles" localSheetId="0">'St.18'!$1:$3</definedName>
  </definedNames>
  <calcPr fullCalcOnLoad="1"/>
</workbook>
</file>

<file path=xl/sharedStrings.xml><?xml version="1.0" encoding="utf-8"?>
<sst xmlns="http://schemas.openxmlformats.org/spreadsheetml/2006/main" count="64" uniqueCount="64">
  <si>
    <t>As on 31st March</t>
  </si>
  <si>
    <t xml:space="preserve">1. Govt. of India Loans </t>
  </si>
  <si>
    <t xml:space="preserve">    a.  Short Term</t>
  </si>
  <si>
    <t xml:space="preserve">    b.  Others</t>
  </si>
  <si>
    <t xml:space="preserve">2. Open Market Loans </t>
  </si>
  <si>
    <t xml:space="preserve">3. Land Compensation Bonds </t>
  </si>
  <si>
    <t>4. Special securities issued to NSSF</t>
  </si>
  <si>
    <t>5. Long and Medium Term Loans from RBI (i.e. from National Agril. Credit fund)</t>
  </si>
  <si>
    <t>6. Loans from LIC (for housing)</t>
  </si>
  <si>
    <t>7. Loans from NCDC and GIC</t>
  </si>
  <si>
    <t xml:space="preserve">8. Floating Debt. </t>
  </si>
  <si>
    <t xml:space="preserve">    a. Overdraft from RBI</t>
  </si>
  <si>
    <t xml:space="preserve">    b. Ways &amp; means advances from RBI</t>
  </si>
  <si>
    <t xml:space="preserve">    c. Cash credit advances from SBI</t>
  </si>
  <si>
    <t xml:space="preserve">9. Any other Loans </t>
  </si>
  <si>
    <t>10. State Provident Funds</t>
  </si>
  <si>
    <t>11. Insurance and pension fund trust and endowments, etc.</t>
  </si>
  <si>
    <t>12. Reserve Funds</t>
  </si>
  <si>
    <t>13. Other Deposits</t>
  </si>
  <si>
    <t>14. Contingency Funds</t>
  </si>
  <si>
    <t>Total of A :</t>
  </si>
  <si>
    <t>B.  FINANCIAL ASSETS</t>
  </si>
  <si>
    <t>1. Loans advanced (due to Govt. )</t>
  </si>
  <si>
    <t xml:space="preserve">     a. to Electricity Board </t>
  </si>
  <si>
    <t xml:space="preserve">     b. Road Transport Corporation </t>
  </si>
  <si>
    <t xml:space="preserve">     c. Other PSUs</t>
  </si>
  <si>
    <t xml:space="preserve">     d. Co-operatives </t>
  </si>
  <si>
    <t xml:space="preserve">          i. Short-Term </t>
  </si>
  <si>
    <t xml:space="preserve">          ii. Others</t>
  </si>
  <si>
    <t xml:space="preserve">     e. Local Bodies </t>
  </si>
  <si>
    <t xml:space="preserve">     f. Cultivators</t>
  </si>
  <si>
    <t xml:space="preserve">          i. Short-Term</t>
  </si>
  <si>
    <t xml:space="preserve">          ii. Others. </t>
  </si>
  <si>
    <t xml:space="preserve">     g. Govt. Servants </t>
  </si>
  <si>
    <t xml:space="preserve">     h. Others</t>
  </si>
  <si>
    <t>2. Cash Balances</t>
  </si>
  <si>
    <t>3. Investments made during the year</t>
  </si>
  <si>
    <t xml:space="preserve">    In Securities </t>
  </si>
  <si>
    <t xml:space="preserve">     i. Earmarked </t>
  </si>
  <si>
    <t xml:space="preserve">     a. Sinking Fund </t>
  </si>
  <si>
    <t xml:space="preserve">     b. Famine Relief Fund </t>
  </si>
  <si>
    <t xml:space="preserve">     c. Others </t>
  </si>
  <si>
    <t xml:space="preserve">     ii. Unearmarked </t>
  </si>
  <si>
    <t xml:space="preserve">    In Treasury Bills (Short-term)</t>
  </si>
  <si>
    <t xml:space="preserve">    In Equity/Share Capital </t>
  </si>
  <si>
    <t>*Assets not covered under point no. 1,2 &amp; 3 should be included in point no. 4 - Other Assests</t>
  </si>
  <si>
    <t>16.</t>
  </si>
  <si>
    <t>2013 (R.E.)</t>
  </si>
  <si>
    <t>2014 (B.E.)</t>
  </si>
  <si>
    <t>2015 (Est.)</t>
  </si>
  <si>
    <t xml:space="preserve"> 8342, 8443 and 8448</t>
  </si>
  <si>
    <t>15. Remittances</t>
  </si>
  <si>
    <t>6403-190+6801-190+6885-190</t>
  </si>
  <si>
    <t>Total F  minus (a,b,c,d,e.f and g)</t>
  </si>
  <si>
    <t>8550,8658,8670,8671,8672 and 8999</t>
  </si>
  <si>
    <t>4.  Other assets Capital Outlay)*</t>
  </si>
  <si>
    <t>Total: B</t>
  </si>
  <si>
    <t>LIABILITIES:</t>
  </si>
  <si>
    <t>Sl.No. 13 - Other Deposits includes credit figures of deposit of accounts under Majaor Heads 8342, 8443 and 8448</t>
  </si>
  <si>
    <t>ASSETS:</t>
  </si>
  <si>
    <t>Sl.No. 2. - Cash Balalnces inculdes the Majoar head 8550,8670,8658,8671 and 8672</t>
  </si>
  <si>
    <t>Sl. No. 3(b) -Famine Relief includez General &amp; other reserve funds 8235</t>
  </si>
  <si>
    <t>Sl. No. 3(i)(c) - Others includes cash balance investment 8673</t>
  </si>
  <si>
    <t xml:space="preserve">Sl. No. 4. excluedes Equity/Share Capital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</si>
</sst>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24" borderId="0" xfId="55" applyNumberFormat="1" applyFont="1" applyFill="1" applyBorder="1" applyAlignment="1">
      <alignment vertical="center"/>
      <protection/>
    </xf>
    <xf numFmtId="0" fontId="19" fillId="24" borderId="10" xfId="55" applyNumberFormat="1" applyFont="1" applyFill="1" applyBorder="1" applyAlignment="1">
      <alignment horizontal="center" vertical="center"/>
      <protection/>
    </xf>
    <xf numFmtId="2" fontId="19" fillId="24" borderId="10" xfId="55" applyNumberFormat="1" applyFont="1" applyFill="1" applyBorder="1" applyAlignment="1">
      <alignment horizontal="center" vertical="center" wrapText="1"/>
      <protection/>
    </xf>
    <xf numFmtId="2" fontId="18" fillId="24" borderId="0" xfId="55" applyNumberFormat="1" applyFont="1" applyFill="1" applyBorder="1" applyAlignment="1">
      <alignment vertical="center"/>
      <protection/>
    </xf>
    <xf numFmtId="0" fontId="19" fillId="24" borderId="10" xfId="55" applyNumberFormat="1" applyFont="1" applyFill="1" applyBorder="1" applyAlignment="1">
      <alignment horizontal="center" vertical="center" wrapText="1"/>
      <protection/>
    </xf>
    <xf numFmtId="2" fontId="19" fillId="24" borderId="11" xfId="55" applyNumberFormat="1" applyFont="1" applyFill="1" applyBorder="1" applyAlignment="1">
      <alignment vertical="center" wrapText="1"/>
      <protection/>
    </xf>
    <xf numFmtId="2" fontId="18" fillId="24" borderId="11" xfId="55" applyNumberFormat="1" applyFont="1" applyFill="1" applyBorder="1" applyAlignment="1">
      <alignment vertical="center"/>
      <protection/>
    </xf>
    <xf numFmtId="2" fontId="18" fillId="24" borderId="11" xfId="55" applyNumberFormat="1" applyFont="1" applyFill="1" applyBorder="1" applyAlignment="1">
      <alignment vertical="center" wrapText="1"/>
      <protection/>
    </xf>
    <xf numFmtId="2" fontId="18" fillId="24" borderId="10" xfId="55" applyNumberFormat="1" applyFont="1" applyFill="1" applyBorder="1" applyAlignment="1">
      <alignment vertical="center" wrapText="1"/>
      <protection/>
    </xf>
    <xf numFmtId="2" fontId="18" fillId="24" borderId="10" xfId="0" applyNumberFormat="1" applyFont="1" applyFill="1" applyBorder="1" applyAlignment="1">
      <alignment vertical="center"/>
    </xf>
    <xf numFmtId="2" fontId="18" fillId="24" borderId="10" xfId="0" applyNumberFormat="1" applyFont="1" applyFill="1" applyBorder="1" applyAlignment="1">
      <alignment vertical="center" wrapText="1"/>
    </xf>
    <xf numFmtId="2" fontId="18" fillId="24" borderId="10" xfId="55" applyNumberFormat="1" applyFont="1" applyFill="1" applyBorder="1" applyAlignment="1">
      <alignment vertical="center"/>
      <protection/>
    </xf>
    <xf numFmtId="2" fontId="18" fillId="24" borderId="10" xfId="55" applyNumberFormat="1" applyFont="1" applyFill="1" applyBorder="1" applyAlignment="1" quotePrefix="1">
      <alignment vertical="center" wrapText="1"/>
      <protection/>
    </xf>
    <xf numFmtId="2" fontId="19" fillId="24" borderId="10" xfId="55" applyNumberFormat="1" applyFont="1" applyFill="1" applyBorder="1" applyAlignment="1">
      <alignment vertical="center" wrapText="1"/>
      <protection/>
    </xf>
    <xf numFmtId="2" fontId="19" fillId="24" borderId="10" xfId="0" applyNumberFormat="1" applyFont="1" applyFill="1" applyBorder="1" applyAlignment="1">
      <alignment vertical="center"/>
    </xf>
    <xf numFmtId="2" fontId="19" fillId="24" borderId="10" xfId="0" applyNumberFormat="1" applyFont="1" applyFill="1" applyBorder="1" applyAlignment="1">
      <alignment vertical="center" wrapText="1"/>
    </xf>
    <xf numFmtId="2" fontId="19" fillId="24" borderId="0" xfId="55" applyNumberFormat="1" applyFont="1" applyFill="1" applyBorder="1" applyAlignment="1">
      <alignment vertical="center" wrapText="1"/>
      <protection/>
    </xf>
    <xf numFmtId="2" fontId="19" fillId="24" borderId="0" xfId="0" applyNumberFormat="1" applyFont="1" applyFill="1" applyBorder="1" applyAlignment="1">
      <alignment vertical="center"/>
    </xf>
    <xf numFmtId="2" fontId="19" fillId="24" borderId="0" xfId="0" applyNumberFormat="1" applyFont="1" applyFill="1" applyBorder="1" applyAlignment="1">
      <alignment vertical="center" wrapText="1"/>
    </xf>
    <xf numFmtId="2" fontId="18" fillId="24" borderId="0" xfId="55" applyNumberFormat="1" applyFont="1" applyFill="1" applyBorder="1" applyAlignment="1">
      <alignment vertical="center" wrapText="1"/>
      <protection/>
    </xf>
    <xf numFmtId="2" fontId="19" fillId="24" borderId="10" xfId="55" applyNumberFormat="1" applyFont="1" applyFill="1" applyBorder="1" applyAlignment="1">
      <alignment vertical="center"/>
      <protection/>
    </xf>
    <xf numFmtId="2" fontId="18" fillId="24" borderId="0" xfId="55" applyNumberFormat="1" applyFont="1" applyFill="1" applyBorder="1" applyAlignment="1">
      <alignment horizontal="left" vertical="center" wrapText="1"/>
      <protection/>
    </xf>
    <xf numFmtId="2" fontId="19" fillId="24" borderId="0" xfId="55" applyNumberFormat="1" applyFont="1" applyFill="1" applyBorder="1" applyAlignment="1">
      <alignment horizontal="center" vertical="center" wrapText="1"/>
      <protection/>
    </xf>
    <xf numFmtId="2" fontId="18" fillId="24" borderId="0" xfId="55" applyNumberFormat="1" applyFont="1" applyFill="1" applyBorder="1" applyAlignment="1">
      <alignment horizontal="left" vertical="center" wrapText="1"/>
      <protection/>
    </xf>
    <xf numFmtId="2" fontId="18" fillId="24" borderId="10" xfId="55" applyNumberFormat="1" applyFont="1" applyFill="1" applyBorder="1" applyAlignment="1">
      <alignment horizontal="center" vertical="center" wrapText="1"/>
      <protection/>
    </xf>
    <xf numFmtId="0" fontId="19" fillId="24" borderId="10" xfId="55" applyNumberFormat="1" applyFont="1" applyFill="1" applyBorder="1" applyAlignment="1">
      <alignment horizontal="center" vertical="center"/>
      <protection/>
    </xf>
    <xf numFmtId="2" fontId="20" fillId="24" borderId="12" xfId="55" applyNumberFormat="1" applyFont="1" applyFill="1" applyBorder="1" applyAlignment="1">
      <alignment horizontal="left" vertical="center" wrapText="1"/>
      <protection/>
    </xf>
    <xf numFmtId="2" fontId="20" fillId="24" borderId="13" xfId="55" applyNumberFormat="1" applyFont="1" applyFill="1" applyBorder="1" applyAlignment="1">
      <alignment horizontal="left" vertical="center" wrapText="1"/>
      <protection/>
    </xf>
    <xf numFmtId="2" fontId="20" fillId="24" borderId="14" xfId="55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4th%20fc\14th%20fc%20revised%20stat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Index"/>
      <sheetName val="nutshell"/>
      <sheetName val="St.1"/>
      <sheetName val="St.1a"/>
      <sheetName val="St.2"/>
      <sheetName val="St2a"/>
      <sheetName val="St.3"/>
      <sheetName val="St.4"/>
      <sheetName val="St.4a"/>
      <sheetName val="St.4b"/>
      <sheetName val="St.5 2007-08"/>
      <sheetName val="st5. 2008-09"/>
      <sheetName val="st.5 2009-10"/>
      <sheetName val="st.5 2010-11"/>
      <sheetName val="st.5 2011-12"/>
      <sheetName val="st.5 2012-13"/>
      <sheetName val="St.5a 2007-08"/>
      <sheetName val="st.5a 2008-09"/>
      <sheetName val="st.5a 2009-10"/>
      <sheetName val="st.5a.2010-11"/>
      <sheetName val="st.5a 2011-12"/>
      <sheetName val="st.5a 2012-13"/>
      <sheetName val="St.6"/>
      <sheetName val="St.6a"/>
      <sheetName val="St.7"/>
      <sheetName val="St.8"/>
      <sheetName val="St.9"/>
      <sheetName val="St.10"/>
      <sheetName val="St.11"/>
      <sheetName val="St.12"/>
      <sheetName val="St.13"/>
      <sheetName val="St.14"/>
      <sheetName val="St.15"/>
      <sheetName val="St.16"/>
      <sheetName val="St.17"/>
      <sheetName val="St.18"/>
      <sheetName val="St. 18(a)"/>
      <sheetName val="St. 18 (b)"/>
      <sheetName val="St. 18 (c)"/>
      <sheetName val="St. 19"/>
      <sheetName val="St.20"/>
      <sheetName val="St.21"/>
      <sheetName val="St.22"/>
      <sheetName val="St.23"/>
      <sheetName val="St.24"/>
      <sheetName val="St.25"/>
      <sheetName val="St.26"/>
      <sheetName val="St.27(a)"/>
      <sheetName val="St.27(b)"/>
      <sheetName val="St.27 (c)"/>
      <sheetName val="St. 28"/>
      <sheetName val="St.29"/>
      <sheetName val="St.30"/>
      <sheetName val="St. 30(a-c)"/>
      <sheetName val="St. 30(d)"/>
      <sheetName val="St.30(e)"/>
      <sheetName val="St.31"/>
      <sheetName val="St.32"/>
      <sheetName val="St.33"/>
      <sheetName val="St.34"/>
      <sheetName val="St.35"/>
      <sheetName val="St.36"/>
      <sheetName val="St.37"/>
      <sheetName val="St.38"/>
      <sheetName val="St.39"/>
      <sheetName val="St.40"/>
      <sheetName val="St.41"/>
      <sheetName val="St.42"/>
      <sheetName val="St.43"/>
      <sheetName val="st44 07-08"/>
      <sheetName val="st44 08-09"/>
      <sheetName val="st44 09-10"/>
      <sheetName val="st44 10-11"/>
      <sheetName val="st 44 11-12"/>
      <sheetName val="st44 12-13"/>
      <sheetName val="St.45a"/>
      <sheetName val="St.45b"/>
      <sheetName val="St.45c"/>
      <sheetName val="St46"/>
      <sheetName val="st47"/>
    </sheetNames>
    <sheetDataSet>
      <sheetData sheetId="38">
        <row r="8">
          <cell r="H8">
            <v>92.26</v>
          </cell>
          <cell r="I8">
            <v>246.89</v>
          </cell>
          <cell r="J8">
            <v>288.7258643562242</v>
          </cell>
        </row>
        <row r="10">
          <cell r="H10">
            <v>2.6900000000000004</v>
          </cell>
          <cell r="I10">
            <v>2.7800000000000002</v>
          </cell>
          <cell r="J10">
            <v>1.9858000000000011</v>
          </cell>
        </row>
        <row r="11">
          <cell r="H11">
            <v>-0.02</v>
          </cell>
          <cell r="I11">
            <v>-0.02</v>
          </cell>
          <cell r="J11">
            <v>-0.02</v>
          </cell>
        </row>
        <row r="12">
          <cell r="H12">
            <v>58.230000000000004</v>
          </cell>
          <cell r="I12">
            <v>49.83</v>
          </cell>
          <cell r="J12">
            <v>46.5113</v>
          </cell>
        </row>
        <row r="13">
          <cell r="G13">
            <v>-4.78</v>
          </cell>
          <cell r="H13">
            <v>-4.78</v>
          </cell>
          <cell r="I13">
            <v>-4.78</v>
          </cell>
        </row>
        <row r="14">
          <cell r="H14">
            <v>0</v>
          </cell>
          <cell r="I14">
            <v>0</v>
          </cell>
          <cell r="J14">
            <v>0</v>
          </cell>
        </row>
        <row r="15">
          <cell r="H15">
            <v>-0.75</v>
          </cell>
          <cell r="I15">
            <v>-0.75</v>
          </cell>
          <cell r="J15">
            <v>-0.75</v>
          </cell>
        </row>
        <row r="16">
          <cell r="H16">
            <v>-1.06</v>
          </cell>
          <cell r="I16">
            <v>-0.66</v>
          </cell>
          <cell r="J16">
            <v>-2.39</v>
          </cell>
        </row>
        <row r="18">
          <cell r="H18">
            <v>23.38</v>
          </cell>
          <cell r="I18">
            <v>14.11</v>
          </cell>
          <cell r="J18">
            <v>14.11</v>
          </cell>
        </row>
        <row r="66">
          <cell r="H66">
            <v>4.050000000000002</v>
          </cell>
          <cell r="I66">
            <v>3.769999999999999</v>
          </cell>
          <cell r="J66">
            <v>3.610124999999999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72"/>
  <sheetViews>
    <sheetView tabSelected="1" view="pageLayout" zoomScaleSheetLayoutView="100" workbookViewId="0" topLeftCell="A1">
      <selection activeCell="A4" sqref="A4"/>
    </sheetView>
  </sheetViews>
  <sheetFormatPr defaultColWidth="9.140625" defaultRowHeight="15.75" customHeight="1"/>
  <cols>
    <col min="1" max="1" width="45.140625" style="20" customWidth="1"/>
    <col min="2" max="6" width="10.7109375" style="4" customWidth="1"/>
    <col min="7" max="9" width="10.7109375" style="20" customWidth="1"/>
    <col min="10" max="10" width="10.28125" style="1" customWidth="1"/>
    <col min="11" max="13" width="9.140625" style="1" customWidth="1"/>
    <col min="14" max="16384" width="9.140625" style="4" customWidth="1"/>
  </cols>
  <sheetData>
    <row r="1" spans="1:9" s="1" customFormat="1" ht="15.7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</row>
    <row r="2" spans="1:9" ht="15.75" customHeight="1">
      <c r="A2" s="25"/>
      <c r="B2" s="2">
        <v>2008</v>
      </c>
      <c r="C2" s="2">
        <v>2009</v>
      </c>
      <c r="D2" s="2">
        <v>2010</v>
      </c>
      <c r="E2" s="2">
        <v>2011</v>
      </c>
      <c r="F2" s="2">
        <v>2012</v>
      </c>
      <c r="G2" s="3" t="s">
        <v>47</v>
      </c>
      <c r="H2" s="3" t="s">
        <v>48</v>
      </c>
      <c r="I2" s="3" t="s">
        <v>49</v>
      </c>
    </row>
    <row r="3" spans="1:9" s="1" customFormat="1" ht="15.75" customHeight="1">
      <c r="A3" s="5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5">
        <v>7</v>
      </c>
      <c r="H3" s="5">
        <v>8</v>
      </c>
      <c r="I3" s="5">
        <v>9</v>
      </c>
    </row>
    <row r="4" spans="1:9" ht="15.75" customHeight="1">
      <c r="A4" s="6" t="str">
        <f>UPPER("A. Liabilities")</f>
        <v>A. LIABILITIES</v>
      </c>
      <c r="B4" s="7"/>
      <c r="C4" s="7"/>
      <c r="D4" s="7"/>
      <c r="E4" s="7"/>
      <c r="F4" s="7"/>
      <c r="G4" s="8"/>
      <c r="H4" s="8"/>
      <c r="I4" s="8"/>
    </row>
    <row r="5" spans="1:9" ht="15.75" customHeight="1">
      <c r="A5" s="9" t="s">
        <v>1</v>
      </c>
      <c r="B5" s="10">
        <f aca="true" t="shared" si="0" ref="B5:I5">B6+B7</f>
        <v>315.82</v>
      </c>
      <c r="C5" s="10">
        <f t="shared" si="0"/>
        <v>300.11</v>
      </c>
      <c r="D5" s="10">
        <f t="shared" si="0"/>
        <v>281.63</v>
      </c>
      <c r="E5" s="10">
        <f t="shared" si="0"/>
        <v>159.79</v>
      </c>
      <c r="F5" s="10">
        <f t="shared" si="0"/>
        <v>156.99</v>
      </c>
      <c r="G5" s="11">
        <f t="shared" si="0"/>
        <v>161.04000000000002</v>
      </c>
      <c r="H5" s="11">
        <f t="shared" si="0"/>
        <v>164.81000000000003</v>
      </c>
      <c r="I5" s="11">
        <f t="shared" si="0"/>
        <v>168.42012500000004</v>
      </c>
    </row>
    <row r="6" spans="1:9" ht="15.75" customHeight="1">
      <c r="A6" s="9" t="s">
        <v>2</v>
      </c>
      <c r="B6" s="10"/>
      <c r="C6" s="10"/>
      <c r="D6" s="10"/>
      <c r="E6" s="10"/>
      <c r="F6" s="10"/>
      <c r="G6" s="11"/>
      <c r="H6" s="9"/>
      <c r="I6" s="9"/>
    </row>
    <row r="7" spans="1:9" ht="15.75" customHeight="1">
      <c r="A7" s="9" t="s">
        <v>3</v>
      </c>
      <c r="B7" s="10">
        <v>315.82</v>
      </c>
      <c r="C7" s="10">
        <v>300.11</v>
      </c>
      <c r="D7" s="10">
        <v>281.63</v>
      </c>
      <c r="E7" s="10">
        <v>159.79</v>
      </c>
      <c r="F7" s="10">
        <v>156.99</v>
      </c>
      <c r="G7" s="11">
        <f>F7+'[1]St. 18 (c)'!H66</f>
        <v>161.04000000000002</v>
      </c>
      <c r="H7" s="9">
        <f>G7+'[1]St. 18 (c)'!I66</f>
        <v>164.81000000000003</v>
      </c>
      <c r="I7" s="9">
        <f>H7+'[1]St. 18 (c)'!J66</f>
        <v>168.42012500000004</v>
      </c>
    </row>
    <row r="8" spans="1:9" ht="15.75" customHeight="1">
      <c r="A8" s="9" t="s">
        <v>4</v>
      </c>
      <c r="B8" s="10">
        <v>741.68</v>
      </c>
      <c r="C8" s="10">
        <v>989.64</v>
      </c>
      <c r="D8" s="10">
        <v>1266.64</v>
      </c>
      <c r="E8" s="10">
        <v>1235.53</v>
      </c>
      <c r="F8" s="10">
        <v>1258.71</v>
      </c>
      <c r="G8" s="11">
        <f>F8+'[1]St. 18 (c)'!H8</f>
        <v>1350.97</v>
      </c>
      <c r="H8" s="11">
        <f>G8+'[1]St. 18 (c)'!I8</f>
        <v>1597.8600000000001</v>
      </c>
      <c r="I8" s="11">
        <f>H8+'[1]St. 18 (c)'!J8</f>
        <v>1886.5858643562242</v>
      </c>
    </row>
    <row r="9" spans="1:9" ht="15.75" customHeight="1">
      <c r="A9" s="9" t="s">
        <v>5</v>
      </c>
      <c r="B9" s="10"/>
      <c r="C9" s="10"/>
      <c r="D9" s="10"/>
      <c r="E9" s="10"/>
      <c r="F9" s="10"/>
      <c r="G9" s="11"/>
      <c r="H9" s="9"/>
      <c r="I9" s="9"/>
    </row>
    <row r="10" spans="1:9" ht="15.75" customHeight="1">
      <c r="A10" s="9" t="s">
        <v>6</v>
      </c>
      <c r="B10" s="10"/>
      <c r="C10" s="10"/>
      <c r="D10" s="10"/>
      <c r="E10" s="10">
        <v>136.59</v>
      </c>
      <c r="F10" s="10">
        <v>148.07</v>
      </c>
      <c r="G10" s="11">
        <f>F10+'[1]St. 18 (c)'!H18</f>
        <v>171.45</v>
      </c>
      <c r="H10" s="11">
        <f>G10+'[1]St. 18 (c)'!I18</f>
        <v>185.56</v>
      </c>
      <c r="I10" s="11">
        <f>H10+'[1]St. 18 (c)'!J18</f>
        <v>199.67000000000002</v>
      </c>
    </row>
    <row r="11" spans="1:9" ht="15.75" customHeight="1">
      <c r="A11" s="9" t="s">
        <v>7</v>
      </c>
      <c r="B11" s="10"/>
      <c r="C11" s="10"/>
      <c r="D11" s="10"/>
      <c r="E11" s="10"/>
      <c r="F11" s="10"/>
      <c r="G11" s="11"/>
      <c r="H11" s="9"/>
      <c r="I11" s="9"/>
    </row>
    <row r="12" spans="1:9" ht="15.75" customHeight="1">
      <c r="A12" s="9" t="s">
        <v>8</v>
      </c>
      <c r="B12" s="10">
        <v>80.76</v>
      </c>
      <c r="C12" s="10">
        <v>86.16</v>
      </c>
      <c r="D12" s="10">
        <v>90.94</v>
      </c>
      <c r="E12" s="10">
        <v>96.42</v>
      </c>
      <c r="F12" s="10">
        <v>95.19</v>
      </c>
      <c r="G12" s="9">
        <f>F12+'[1]St. 18 (c)'!H10</f>
        <v>97.88</v>
      </c>
      <c r="H12" s="9">
        <f>G12+'[1]St. 18 (c)'!I10</f>
        <v>100.66</v>
      </c>
      <c r="I12" s="9">
        <f>H12+'[1]St. 18 (c)'!J10</f>
        <v>102.6458</v>
      </c>
    </row>
    <row r="13" spans="1:9" ht="15.75" customHeight="1">
      <c r="A13" s="9" t="s">
        <v>9</v>
      </c>
      <c r="B13" s="10">
        <v>1.33</v>
      </c>
      <c r="C13" s="10">
        <v>1.31</v>
      </c>
      <c r="D13" s="10">
        <v>1.28</v>
      </c>
      <c r="E13" s="10">
        <v>3.15</v>
      </c>
      <c r="F13" s="10">
        <v>2.38</v>
      </c>
      <c r="G13" s="9">
        <f>F13+'[1]St. 18 (c)'!H11+'[1]St. 18 (c)'!H15</f>
        <v>1.6099999999999999</v>
      </c>
      <c r="H13" s="9">
        <f>G13+'[1]St. 18 (c)'!I11+'[1]St. 18 (c)'!I15</f>
        <v>0.8399999999999999</v>
      </c>
      <c r="I13" s="9">
        <f>H13+'[1]St. 18 (c)'!J11+'[1]St. 18 (c)'!J15</f>
        <v>0.06999999999999984</v>
      </c>
    </row>
    <row r="14" spans="1:9" ht="15.75" customHeight="1">
      <c r="A14" s="9" t="s">
        <v>10</v>
      </c>
      <c r="B14" s="12"/>
      <c r="C14" s="12"/>
      <c r="D14" s="12"/>
      <c r="E14" s="12"/>
      <c r="F14" s="12"/>
      <c r="G14" s="9"/>
      <c r="H14" s="9"/>
      <c r="I14" s="9"/>
    </row>
    <row r="15" spans="1:9" ht="15.75" customHeight="1">
      <c r="A15" s="9" t="s">
        <v>11</v>
      </c>
      <c r="B15" s="10"/>
      <c r="C15" s="10"/>
      <c r="D15" s="10"/>
      <c r="E15" s="10"/>
      <c r="F15" s="10"/>
      <c r="G15" s="11"/>
      <c r="H15" s="9"/>
      <c r="I15" s="9"/>
    </row>
    <row r="16" spans="1:9" ht="15.75" customHeight="1">
      <c r="A16" s="9" t="s">
        <v>12</v>
      </c>
      <c r="B16" s="10"/>
      <c r="C16" s="10"/>
      <c r="D16" s="10"/>
      <c r="E16" s="10"/>
      <c r="F16" s="10"/>
      <c r="G16" s="11"/>
      <c r="H16" s="9"/>
      <c r="I16" s="9"/>
    </row>
    <row r="17" spans="1:9" ht="15.75" customHeight="1">
      <c r="A17" s="9" t="s">
        <v>13</v>
      </c>
      <c r="B17" s="10"/>
      <c r="C17" s="10"/>
      <c r="D17" s="10"/>
      <c r="E17" s="10"/>
      <c r="F17" s="10"/>
      <c r="G17" s="11"/>
      <c r="H17" s="9"/>
      <c r="I17" s="9"/>
    </row>
    <row r="18" spans="1:9" ht="15.75" customHeight="1">
      <c r="A18" s="9" t="s">
        <v>14</v>
      </c>
      <c r="B18" s="10">
        <v>85.08</v>
      </c>
      <c r="C18" s="10">
        <v>108.63</v>
      </c>
      <c r="D18" s="10">
        <v>151.19</v>
      </c>
      <c r="E18" s="10">
        <v>181.58</v>
      </c>
      <c r="F18" s="10">
        <v>190.93</v>
      </c>
      <c r="G18" s="11">
        <f>F18+'[1]St. 18 (c)'!H12+'[1]St. 18 (c)'!G13+'[1]St. 18 (c)'!H14+'[1]St. 18 (c)'!H16</f>
        <v>243.32000000000002</v>
      </c>
      <c r="H18" s="11">
        <f>G18+'[1]St. 18 (c)'!I12+'[1]St. 18 (c)'!H13+'[1]St. 18 (c)'!I14+'[1]St. 18 (c)'!I16</f>
        <v>287.71000000000004</v>
      </c>
      <c r="I18" s="11">
        <f>H18+'[1]St. 18 (c)'!J12+'[1]St. 18 (c)'!I13+'[1]St. 18 (c)'!J14+'[1]St. 18 (c)'!J16</f>
        <v>327.0513000000001</v>
      </c>
    </row>
    <row r="19" spans="1:9" ht="15.75" customHeight="1">
      <c r="A19" s="9" t="s">
        <v>15</v>
      </c>
      <c r="B19" s="10">
        <v>320.42</v>
      </c>
      <c r="C19" s="10">
        <v>347.41</v>
      </c>
      <c r="D19" s="10">
        <v>390.37</v>
      </c>
      <c r="E19" s="10">
        <v>485.61</v>
      </c>
      <c r="F19" s="10">
        <v>551.3</v>
      </c>
      <c r="G19" s="11">
        <f>+F19+206-121</f>
        <v>636.3</v>
      </c>
      <c r="H19" s="9">
        <f>G19+200-200</f>
        <v>636.3</v>
      </c>
      <c r="I19" s="9">
        <f>H19+200-200</f>
        <v>636.3</v>
      </c>
    </row>
    <row r="20" spans="1:9" ht="31.5">
      <c r="A20" s="9" t="s">
        <v>16</v>
      </c>
      <c r="B20" s="10">
        <v>16.49</v>
      </c>
      <c r="C20" s="10">
        <v>18.78</v>
      </c>
      <c r="D20" s="10">
        <v>21.4</v>
      </c>
      <c r="E20" s="10">
        <v>24.67</v>
      </c>
      <c r="F20" s="10">
        <v>27.5</v>
      </c>
      <c r="G20" s="11">
        <f>+F20+3.51-1.35</f>
        <v>29.659999999999997</v>
      </c>
      <c r="H20" s="9">
        <f>+G20+4.12-1.22-2.86</f>
        <v>29.699999999999996</v>
      </c>
      <c r="I20" s="9">
        <f>+H20+4.12-1.22-2.86</f>
        <v>29.739999999999995</v>
      </c>
    </row>
    <row r="21" spans="1:9" ht="15.75" customHeight="1">
      <c r="A21" s="9" t="s">
        <v>17</v>
      </c>
      <c r="B21" s="10">
        <v>129.42</v>
      </c>
      <c r="C21" s="10">
        <v>142.49</v>
      </c>
      <c r="D21" s="10">
        <v>151.37</v>
      </c>
      <c r="E21" s="10">
        <v>175.65</v>
      </c>
      <c r="F21" s="10">
        <v>254.22</v>
      </c>
      <c r="G21" s="11">
        <f>+F21+25.08-25.08</f>
        <v>254.22000000000003</v>
      </c>
      <c r="H21" s="11">
        <f>+G21+25.08-25.08</f>
        <v>254.22000000000003</v>
      </c>
      <c r="I21" s="11">
        <f>+H21+25.08-25.08</f>
        <v>254.22000000000003</v>
      </c>
    </row>
    <row r="22" spans="1:10" ht="15.75" customHeight="1">
      <c r="A22" s="9" t="s">
        <v>18</v>
      </c>
      <c r="B22" s="10">
        <v>32.25</v>
      </c>
      <c r="C22" s="10">
        <f>3.24+52.25+0.01</f>
        <v>55.5</v>
      </c>
      <c r="D22" s="10">
        <f>8.44+56.94+0.01</f>
        <v>65.39</v>
      </c>
      <c r="E22" s="10">
        <v>85.4</v>
      </c>
      <c r="F22" s="10">
        <v>103.33</v>
      </c>
      <c r="G22" s="11">
        <v>103.33</v>
      </c>
      <c r="H22" s="11">
        <v>103.33</v>
      </c>
      <c r="I22" s="11">
        <v>103.33</v>
      </c>
      <c r="J22" s="1" t="s">
        <v>50</v>
      </c>
    </row>
    <row r="23" spans="1:9" ht="15.75" customHeight="1">
      <c r="A23" s="9" t="s">
        <v>19</v>
      </c>
      <c r="B23" s="10">
        <v>1</v>
      </c>
      <c r="C23" s="10">
        <v>1</v>
      </c>
      <c r="D23" s="10">
        <v>1</v>
      </c>
      <c r="E23" s="10">
        <v>0.9</v>
      </c>
      <c r="F23" s="10">
        <v>1</v>
      </c>
      <c r="G23" s="11">
        <v>1</v>
      </c>
      <c r="H23" s="11">
        <v>1</v>
      </c>
      <c r="I23" s="11">
        <v>1</v>
      </c>
    </row>
    <row r="24" spans="1:9" ht="15.75" customHeight="1">
      <c r="A24" s="13" t="s">
        <v>51</v>
      </c>
      <c r="B24" s="10">
        <v>102.98</v>
      </c>
      <c r="C24" s="10">
        <v>152.12</v>
      </c>
      <c r="D24" s="10">
        <v>166.93</v>
      </c>
      <c r="E24" s="10">
        <v>138.69</v>
      </c>
      <c r="F24" s="10">
        <v>256.84</v>
      </c>
      <c r="G24" s="10">
        <v>256.84</v>
      </c>
      <c r="H24" s="10">
        <v>256.84</v>
      </c>
      <c r="I24" s="10">
        <v>256.84</v>
      </c>
    </row>
    <row r="25" spans="1:9" ht="15.75" customHeight="1">
      <c r="A25" s="13" t="s">
        <v>46</v>
      </c>
      <c r="B25" s="10"/>
      <c r="C25" s="10"/>
      <c r="D25" s="10"/>
      <c r="E25" s="10"/>
      <c r="F25" s="10"/>
      <c r="G25" s="11"/>
      <c r="H25" s="9"/>
      <c r="I25" s="9"/>
    </row>
    <row r="26" spans="1:9" ht="15.75" customHeight="1">
      <c r="A26" s="14" t="s">
        <v>20</v>
      </c>
      <c r="B26" s="15">
        <f>B24+B23+B22+B21+B20+B19+B18+B13+B12+B8+B7</f>
        <v>1827.2299999999998</v>
      </c>
      <c r="C26" s="15">
        <f>C5+C8+C12+C13+C18+C19+C20+C21+C22+C23+C24</f>
        <v>2203.1499999999996</v>
      </c>
      <c r="D26" s="15">
        <f>D5+D8+D12+D13+D18+D19+D20+D21+D22+D23+D24</f>
        <v>2588.14</v>
      </c>
      <c r="E26" s="15">
        <f>E5+E8+E10+E12+E13+E18+E19+E20+E21+E22+E23+E24</f>
        <v>2723.9800000000005</v>
      </c>
      <c r="F26" s="15">
        <f>F24+F23+F22+F21+F20+F19+F18+F13+F12+F10+F8+F5</f>
        <v>3046.46</v>
      </c>
      <c r="G26" s="16">
        <f>G24+G23+G22+G21+G20+G19+G18+G13+G12+G10+G8+G5</f>
        <v>3307.62</v>
      </c>
      <c r="H26" s="16">
        <f>H24+H23+H22+H21+H20+H19+H18+H13+H12+H10+H8+H5</f>
        <v>3618.83</v>
      </c>
      <c r="I26" s="16">
        <f>I24+I23+I22+I21+I20+I19+I18+I13+I12+I10+I8+I5</f>
        <v>3965.873089356224</v>
      </c>
    </row>
    <row r="27" spans="1:7" ht="15.75" customHeight="1">
      <c r="A27" s="17"/>
      <c r="B27" s="18"/>
      <c r="C27" s="18"/>
      <c r="D27" s="18"/>
      <c r="E27" s="18"/>
      <c r="F27" s="18"/>
      <c r="G27" s="19"/>
    </row>
    <row r="28" spans="1:9" ht="15.75" customHeight="1">
      <c r="A28" s="14" t="s">
        <v>21</v>
      </c>
      <c r="B28" s="12"/>
      <c r="C28" s="12"/>
      <c r="D28" s="12"/>
      <c r="E28" s="12"/>
      <c r="F28" s="12"/>
      <c r="G28" s="9"/>
      <c r="H28" s="9"/>
      <c r="I28" s="9"/>
    </row>
    <row r="29" spans="1:9" ht="15.75" customHeight="1">
      <c r="A29" s="9" t="s">
        <v>22</v>
      </c>
      <c r="B29" s="12">
        <f aca="true" t="shared" si="1" ref="B29:I29">B30+B31+B32+B33+B36+B37+B40+B41</f>
        <v>5.120000000000001</v>
      </c>
      <c r="C29" s="12">
        <f t="shared" si="1"/>
        <v>5</v>
      </c>
      <c r="D29" s="12">
        <f t="shared" si="1"/>
        <v>41.68</v>
      </c>
      <c r="E29" s="12">
        <f t="shared" si="1"/>
        <v>46.64</v>
      </c>
      <c r="F29" s="12">
        <f t="shared" si="1"/>
        <v>95.78</v>
      </c>
      <c r="G29" s="12">
        <f t="shared" si="1"/>
        <v>96.75</v>
      </c>
      <c r="H29" s="12">
        <f t="shared" si="1"/>
        <v>101.35000000000001</v>
      </c>
      <c r="I29" s="12">
        <f t="shared" si="1"/>
        <v>110.96000000000001</v>
      </c>
    </row>
    <row r="30" spans="1:9" ht="15.75" customHeight="1">
      <c r="A30" s="9" t="s">
        <v>23</v>
      </c>
      <c r="B30" s="12"/>
      <c r="C30" s="12"/>
      <c r="D30" s="12"/>
      <c r="E30" s="12"/>
      <c r="F30" s="12"/>
      <c r="G30" s="12"/>
      <c r="H30" s="12"/>
      <c r="I30" s="12"/>
    </row>
    <row r="31" spans="1:9" ht="15.75" customHeight="1">
      <c r="A31" s="9" t="s">
        <v>24</v>
      </c>
      <c r="B31" s="12"/>
      <c r="C31" s="12"/>
      <c r="D31" s="12"/>
      <c r="E31" s="12"/>
      <c r="F31" s="12"/>
      <c r="G31" s="12"/>
      <c r="H31" s="12"/>
      <c r="I31" s="12"/>
    </row>
    <row r="32" spans="1:10" ht="15.75" customHeight="1">
      <c r="A32" s="9" t="s">
        <v>25</v>
      </c>
      <c r="B32" s="12">
        <f>2.03+0.08</f>
        <v>2.11</v>
      </c>
      <c r="C32" s="12">
        <f>2.03+0.08</f>
        <v>2.11</v>
      </c>
      <c r="D32" s="12">
        <f>0.08+2.03+35</f>
        <v>37.11</v>
      </c>
      <c r="E32" s="12">
        <f>0.08+35+2.03</f>
        <v>37.11</v>
      </c>
      <c r="F32" s="12">
        <f>0.08+35+2.03</f>
        <v>37.11</v>
      </c>
      <c r="G32" s="12">
        <f>0.08+35+2.03</f>
        <v>37.11</v>
      </c>
      <c r="H32" s="12">
        <f>+G32</f>
        <v>37.11</v>
      </c>
      <c r="I32" s="12">
        <f>+H32</f>
        <v>37.11</v>
      </c>
      <c r="J32" s="1" t="s">
        <v>52</v>
      </c>
    </row>
    <row r="33" spans="1:9" ht="15.75" customHeight="1">
      <c r="A33" s="9" t="s">
        <v>26</v>
      </c>
      <c r="B33" s="12">
        <f>+B34+B35</f>
        <v>0.43</v>
      </c>
      <c r="C33" s="12">
        <f aca="true" t="shared" si="2" ref="C33:I33">+C34+C35</f>
        <v>0.43</v>
      </c>
      <c r="D33" s="12">
        <f t="shared" si="2"/>
        <v>0.46</v>
      </c>
      <c r="E33" s="12">
        <f t="shared" si="2"/>
        <v>3.46</v>
      </c>
      <c r="F33" s="12">
        <f t="shared" si="2"/>
        <v>3.46</v>
      </c>
      <c r="G33" s="12">
        <f t="shared" si="2"/>
        <v>2.71</v>
      </c>
      <c r="H33" s="12">
        <f t="shared" si="2"/>
        <v>1.96</v>
      </c>
      <c r="I33" s="12">
        <f t="shared" si="2"/>
        <v>1.21</v>
      </c>
    </row>
    <row r="34" spans="1:9" ht="15.75" customHeight="1">
      <c r="A34" s="9" t="s">
        <v>27</v>
      </c>
      <c r="B34" s="12"/>
      <c r="C34" s="12"/>
      <c r="D34" s="12"/>
      <c r="E34" s="12"/>
      <c r="F34" s="12"/>
      <c r="G34" s="12"/>
      <c r="H34" s="12"/>
      <c r="I34" s="12"/>
    </row>
    <row r="35" spans="1:10" ht="15.75" customHeight="1">
      <c r="A35" s="9" t="s">
        <v>28</v>
      </c>
      <c r="B35" s="12">
        <v>0.43</v>
      </c>
      <c r="C35" s="12">
        <v>0.43</v>
      </c>
      <c r="D35" s="12">
        <v>0.46</v>
      </c>
      <c r="E35" s="12">
        <v>3.46</v>
      </c>
      <c r="F35" s="12">
        <v>3.46</v>
      </c>
      <c r="G35" s="12">
        <f>+F35-0.75</f>
        <v>2.71</v>
      </c>
      <c r="H35" s="12">
        <f>+G35-0.75</f>
        <v>1.96</v>
      </c>
      <c r="I35" s="12">
        <f>+H35-0.75</f>
        <v>1.21</v>
      </c>
      <c r="J35" s="1">
        <v>6425</v>
      </c>
    </row>
    <row r="36" spans="1:9" ht="15.75" customHeight="1">
      <c r="A36" s="9" t="s">
        <v>29</v>
      </c>
      <c r="D36" s="12"/>
      <c r="E36" s="12"/>
      <c r="F36" s="12"/>
      <c r="G36" s="12"/>
      <c r="H36" s="12"/>
      <c r="I36" s="12"/>
    </row>
    <row r="37" spans="1:9" ht="15.75" customHeight="1">
      <c r="A37" s="9" t="s">
        <v>30</v>
      </c>
      <c r="B37" s="12">
        <f>B38+B39</f>
        <v>0</v>
      </c>
      <c r="C37" s="12">
        <f aca="true" t="shared" si="3" ref="C37:I37">C38+C39</f>
        <v>0</v>
      </c>
      <c r="D37" s="12">
        <f t="shared" si="3"/>
        <v>0</v>
      </c>
      <c r="E37" s="12">
        <f t="shared" si="3"/>
        <v>0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</row>
    <row r="38" spans="1:9" ht="15.75" customHeight="1">
      <c r="A38" s="9" t="s">
        <v>31</v>
      </c>
      <c r="B38" s="12"/>
      <c r="C38" s="12"/>
      <c r="D38" s="12"/>
      <c r="E38" s="12"/>
      <c r="F38" s="12"/>
      <c r="G38" s="9"/>
      <c r="H38" s="9"/>
      <c r="I38" s="9"/>
    </row>
    <row r="39" spans="1:9" ht="15.75" customHeight="1">
      <c r="A39" s="9" t="s">
        <v>32</v>
      </c>
      <c r="B39" s="12"/>
      <c r="C39" s="12"/>
      <c r="D39" s="12"/>
      <c r="E39" s="12"/>
      <c r="F39" s="12"/>
      <c r="G39" s="9"/>
      <c r="H39" s="9"/>
      <c r="I39" s="9"/>
    </row>
    <row r="40" spans="1:9" ht="15.75" customHeight="1">
      <c r="A40" s="9" t="s">
        <v>33</v>
      </c>
      <c r="B40" s="12">
        <v>0.08</v>
      </c>
      <c r="C40" s="12"/>
      <c r="D40" s="12"/>
      <c r="E40" s="12"/>
      <c r="F40" s="12">
        <v>0.17</v>
      </c>
      <c r="G40" s="9">
        <f>F40+0.3</f>
        <v>0.47</v>
      </c>
      <c r="H40" s="9">
        <f>+G40+0.4</f>
        <v>0.87</v>
      </c>
      <c r="I40" s="9">
        <f>+H40+0.4</f>
        <v>1.27</v>
      </c>
    </row>
    <row r="41" spans="1:10" ht="15.75" customHeight="1">
      <c r="A41" s="9" t="s">
        <v>34</v>
      </c>
      <c r="B41" s="12">
        <f>5.12-B33-B32-B31-B30-B40</f>
        <v>2.5000000000000004</v>
      </c>
      <c r="C41" s="12">
        <f>5-C40-C37-C36-C33-C32-C31-C30</f>
        <v>2.4600000000000004</v>
      </c>
      <c r="D41" s="12">
        <f>41.68-D40-D37-D36-D33-D32-D31-D30</f>
        <v>4.109999999999999</v>
      </c>
      <c r="E41" s="12">
        <f>46.64-E40-E37-E36-E33-E32-E31-E30</f>
        <v>6.07</v>
      </c>
      <c r="F41" s="12">
        <f>95.78-F40-F37-F36-F33-F32-F31-F30</f>
        <v>55.040000000000006</v>
      </c>
      <c r="G41" s="9">
        <f>F41+5.4-0.8-G33-G40</f>
        <v>56.46000000000001</v>
      </c>
      <c r="H41" s="9">
        <f>+G41-0.05+5</f>
        <v>61.41000000000001</v>
      </c>
      <c r="I41" s="9">
        <f>+H41+10-0.04</f>
        <v>71.37</v>
      </c>
      <c r="J41" s="1" t="s">
        <v>53</v>
      </c>
    </row>
    <row r="42" spans="1:10" ht="15.75" customHeight="1">
      <c r="A42" s="9" t="s">
        <v>35</v>
      </c>
      <c r="B42" s="12">
        <f>1.03+2.83-79.82+0.16+0.39+78.83</f>
        <v>3.4200000000000017</v>
      </c>
      <c r="C42" s="12">
        <f>1.03+2.04-73.61+0.2+0.39+95.68</f>
        <v>25.730000000000018</v>
      </c>
      <c r="D42" s="12">
        <f>1.03-0.42-174.8+0.15+0.39+114.99</f>
        <v>-58.66000000000001</v>
      </c>
      <c r="E42" s="12">
        <f>1.03-80.25+2.74+0.15+0.39+154.79</f>
        <v>78.85</v>
      </c>
      <c r="F42" s="12">
        <f>1.03+1.31-113.999+0.05+0.4+128.76</f>
        <v>17.551000000000002</v>
      </c>
      <c r="G42" s="9">
        <f>+F42+9.99+1956.87+4.11+0.01+128.76-0.14-10.13-0.01-1956.58-4.12-0.01-69.44</f>
        <v>76.86099999999959</v>
      </c>
      <c r="H42" s="9">
        <f>+G42+5.36+2188.9+5.02+0.01+69.44-5.07-0.29-2188.9-5.02-69.4</f>
        <v>76.91099999999966</v>
      </c>
      <c r="I42" s="9">
        <f>+H42+5.36+2188.9+5.02+0.01+69.44-5.07-0.29-2188.9-5.02-69.4</f>
        <v>76.96099999999984</v>
      </c>
      <c r="J42" s="1" t="s">
        <v>54</v>
      </c>
    </row>
    <row r="43" spans="1:9" ht="15.75" customHeight="1">
      <c r="A43" s="9" t="s">
        <v>36</v>
      </c>
      <c r="B43" s="12">
        <f>B45+B49</f>
        <v>575.8</v>
      </c>
      <c r="C43" s="12">
        <f aca="true" t="shared" si="4" ref="C43:I43">C45+C49</f>
        <v>697.5600000000001</v>
      </c>
      <c r="D43" s="12">
        <f t="shared" si="4"/>
        <v>998.1500000000001</v>
      </c>
      <c r="E43" s="12">
        <f t="shared" si="4"/>
        <v>668.1500000000001</v>
      </c>
      <c r="F43" s="12">
        <f t="shared" si="4"/>
        <v>814.26</v>
      </c>
      <c r="G43" s="12">
        <f t="shared" si="4"/>
        <v>843.88</v>
      </c>
      <c r="H43" s="12">
        <f t="shared" si="4"/>
        <v>867.888375</v>
      </c>
      <c r="I43" s="12">
        <f t="shared" si="4"/>
        <v>886.968375</v>
      </c>
    </row>
    <row r="44" spans="1:9" ht="15.75" customHeight="1">
      <c r="A44" s="9" t="s">
        <v>37</v>
      </c>
      <c r="B44" s="12"/>
      <c r="C44" s="12"/>
      <c r="D44" s="12"/>
      <c r="E44" s="12"/>
      <c r="F44" s="12"/>
      <c r="G44" s="9"/>
      <c r="H44" s="9"/>
      <c r="I44" s="9"/>
    </row>
    <row r="45" spans="1:9" ht="15.75" customHeight="1">
      <c r="A45" s="9" t="s">
        <v>38</v>
      </c>
      <c r="B45" s="12">
        <f>B46+B47+B48</f>
        <v>492.39</v>
      </c>
      <c r="C45" s="12">
        <f aca="true" t="shared" si="5" ref="C45:I45">C46+C47+C48</f>
        <v>611.97</v>
      </c>
      <c r="D45" s="12">
        <f t="shared" si="5"/>
        <v>908.84</v>
      </c>
      <c r="E45" s="12">
        <f t="shared" si="5"/>
        <v>577.84</v>
      </c>
      <c r="F45" s="12">
        <f t="shared" si="5"/>
        <v>716.84</v>
      </c>
      <c r="G45" s="12">
        <f t="shared" si="5"/>
        <v>742.62</v>
      </c>
      <c r="H45" s="12">
        <f t="shared" si="5"/>
        <v>757.4</v>
      </c>
      <c r="I45" s="12">
        <f t="shared" si="5"/>
        <v>772.1800000000001</v>
      </c>
    </row>
    <row r="46" spans="1:11" ht="15.75" customHeight="1">
      <c r="A46" s="9" t="s">
        <v>39</v>
      </c>
      <c r="B46" s="12">
        <v>90.39</v>
      </c>
      <c r="C46" s="12">
        <v>102.12</v>
      </c>
      <c r="D46" s="12">
        <v>114.12</v>
      </c>
      <c r="E46" s="12">
        <v>126.12</v>
      </c>
      <c r="F46" s="12">
        <v>138.12</v>
      </c>
      <c r="G46" s="9">
        <f>+F46+12</f>
        <v>150.12</v>
      </c>
      <c r="H46" s="9">
        <f>+G46+12</f>
        <v>162.12</v>
      </c>
      <c r="I46" s="9">
        <f>+H46+12</f>
        <v>174.12</v>
      </c>
      <c r="J46" s="1">
        <v>8222</v>
      </c>
      <c r="K46" s="4"/>
    </row>
    <row r="47" spans="1:10" ht="15.75" customHeight="1">
      <c r="A47" s="9" t="s">
        <v>40</v>
      </c>
      <c r="B47" s="12">
        <v>16</v>
      </c>
      <c r="C47" s="12">
        <f>7.13+7.72</f>
        <v>14.85</v>
      </c>
      <c r="D47" s="12">
        <v>9.72</v>
      </c>
      <c r="E47" s="12">
        <v>11.72</v>
      </c>
      <c r="F47" s="12">
        <v>13.72</v>
      </c>
      <c r="G47" s="9">
        <f>+F47-33-2+11+37.78</f>
        <v>27.5</v>
      </c>
      <c r="H47" s="9">
        <f>+G47+33-2-16-12.22</f>
        <v>30.28</v>
      </c>
      <c r="I47" s="9">
        <f>+H47+33-2-16-12.22</f>
        <v>33.06</v>
      </c>
      <c r="J47" s="1">
        <v>8235</v>
      </c>
    </row>
    <row r="48" spans="1:14" ht="15.75" customHeight="1">
      <c r="A48" s="9" t="s">
        <v>41</v>
      </c>
      <c r="B48" s="12">
        <v>386</v>
      </c>
      <c r="C48" s="12">
        <v>495</v>
      </c>
      <c r="D48" s="12">
        <v>785</v>
      </c>
      <c r="E48" s="12">
        <v>440</v>
      </c>
      <c r="F48" s="12">
        <v>565</v>
      </c>
      <c r="G48" s="12">
        <v>565</v>
      </c>
      <c r="H48" s="9">
        <f>+G48+1817-1817</f>
        <v>565</v>
      </c>
      <c r="I48" s="9">
        <f>+H48+1817-1817</f>
        <v>565</v>
      </c>
      <c r="J48" s="1">
        <v>8673</v>
      </c>
      <c r="N48" s="4">
        <f>3.42-B42</f>
        <v>0</v>
      </c>
    </row>
    <row r="49" spans="1:9" ht="15.75" customHeight="1">
      <c r="A49" s="9" t="s">
        <v>42</v>
      </c>
      <c r="B49" s="12">
        <f>B50+B51</f>
        <v>83.41</v>
      </c>
      <c r="C49" s="12">
        <f aca="true" t="shared" si="6" ref="C49:I49">C50+C51</f>
        <v>85.59</v>
      </c>
      <c r="D49" s="12">
        <f t="shared" si="6"/>
        <v>89.31</v>
      </c>
      <c r="E49" s="12">
        <f t="shared" si="6"/>
        <v>90.31</v>
      </c>
      <c r="F49" s="12">
        <f t="shared" si="6"/>
        <v>97.42</v>
      </c>
      <c r="G49" s="12">
        <f t="shared" si="6"/>
        <v>101.26</v>
      </c>
      <c r="H49" s="12">
        <f t="shared" si="6"/>
        <v>110.488375</v>
      </c>
      <c r="I49" s="12">
        <f t="shared" si="6"/>
        <v>114.788375</v>
      </c>
    </row>
    <row r="50" spans="1:9" ht="15.75" customHeight="1">
      <c r="A50" s="9" t="s">
        <v>43</v>
      </c>
      <c r="B50" s="12"/>
      <c r="C50" s="12"/>
      <c r="D50" s="12"/>
      <c r="E50" s="12"/>
      <c r="F50" s="12"/>
      <c r="G50" s="9"/>
      <c r="H50" s="9"/>
      <c r="I50" s="9"/>
    </row>
    <row r="51" spans="1:9" ht="15.75" customHeight="1">
      <c r="A51" s="9" t="s">
        <v>44</v>
      </c>
      <c r="B51" s="12">
        <f>83.41</f>
        <v>83.41</v>
      </c>
      <c r="C51" s="12">
        <v>85.59</v>
      </c>
      <c r="D51" s="12">
        <v>89.31</v>
      </c>
      <c r="E51" s="12">
        <v>90.31</v>
      </c>
      <c r="F51" s="12">
        <v>97.42</v>
      </c>
      <c r="G51" s="9">
        <f>+F51+3.84</f>
        <v>101.26</v>
      </c>
      <c r="H51" s="9">
        <f>+G51+4.3+(4.43*1.1125)</f>
        <v>110.488375</v>
      </c>
      <c r="I51" s="9">
        <f>+H51+4.3</f>
        <v>114.788375</v>
      </c>
    </row>
    <row r="52" spans="1:9" ht="15.75" customHeight="1">
      <c r="A52" s="9" t="s">
        <v>55</v>
      </c>
      <c r="B52" s="12">
        <f>3307.37-B51</f>
        <v>3223.96</v>
      </c>
      <c r="C52" s="12">
        <f>3919.45-C51</f>
        <v>3833.8599999999997</v>
      </c>
      <c r="D52" s="12">
        <f>4567.67-D51</f>
        <v>4478.36</v>
      </c>
      <c r="E52" s="12">
        <f>5018.74-E51</f>
        <v>4928.429999999999</v>
      </c>
      <c r="F52" s="12">
        <f>5592.25-F51</f>
        <v>5494.83</v>
      </c>
      <c r="G52" s="9">
        <f>+F52+1499.25-G51</f>
        <v>6892.82</v>
      </c>
      <c r="H52" s="9">
        <f>+G52+1315.02-H51</f>
        <v>8097.351625</v>
      </c>
      <c r="I52" s="9">
        <f>+H52+1460.71-I51</f>
        <v>9443.27325</v>
      </c>
    </row>
    <row r="53" spans="1:9" ht="15.75" customHeight="1">
      <c r="A53" s="27" t="s">
        <v>45</v>
      </c>
      <c r="B53" s="28"/>
      <c r="C53" s="28"/>
      <c r="D53" s="28"/>
      <c r="E53" s="28"/>
      <c r="F53" s="28"/>
      <c r="G53" s="28"/>
      <c r="H53" s="28"/>
      <c r="I53" s="29"/>
    </row>
    <row r="54" spans="1:9" ht="15.75" customHeight="1">
      <c r="A54" s="14" t="s">
        <v>56</v>
      </c>
      <c r="B54" s="21">
        <f>B29+B42+B43+B52</f>
        <v>3808.3</v>
      </c>
      <c r="C54" s="21">
        <f>C29+C42+C43+C52</f>
        <v>4562.15</v>
      </c>
      <c r="D54" s="21">
        <f aca="true" t="shared" si="7" ref="D54:I54">D29+D42+D43+D52</f>
        <v>5459.53</v>
      </c>
      <c r="E54" s="21">
        <f t="shared" si="7"/>
        <v>5722.07</v>
      </c>
      <c r="F54" s="21">
        <f t="shared" si="7"/>
        <v>6422.421</v>
      </c>
      <c r="G54" s="21">
        <f t="shared" si="7"/>
        <v>7910.311</v>
      </c>
      <c r="H54" s="21">
        <f t="shared" si="7"/>
        <v>9143.501</v>
      </c>
      <c r="I54" s="21">
        <f t="shared" si="7"/>
        <v>10518.162625</v>
      </c>
    </row>
    <row r="55" ht="15.75" customHeight="1">
      <c r="A55" s="17" t="s">
        <v>57</v>
      </c>
    </row>
    <row r="56" spans="1:9" ht="15.75" customHeight="1">
      <c r="A56" s="24" t="s">
        <v>58</v>
      </c>
      <c r="B56" s="24"/>
      <c r="C56" s="24"/>
      <c r="D56" s="24"/>
      <c r="E56" s="24"/>
      <c r="F56" s="24"/>
      <c r="G56" s="24"/>
      <c r="H56" s="24"/>
      <c r="I56" s="24"/>
    </row>
    <row r="57" ht="15.75" customHeight="1">
      <c r="A57" s="17" t="s">
        <v>59</v>
      </c>
    </row>
    <row r="58" spans="1:9" ht="15.75" customHeight="1">
      <c r="A58" s="24" t="s">
        <v>60</v>
      </c>
      <c r="B58" s="24"/>
      <c r="C58" s="24"/>
      <c r="D58" s="24"/>
      <c r="E58" s="24"/>
      <c r="F58" s="24"/>
      <c r="G58" s="24"/>
      <c r="H58" s="24"/>
      <c r="I58" s="24"/>
    </row>
    <row r="59" spans="1:9" ht="15.75" customHeight="1">
      <c r="A59" s="24" t="s">
        <v>61</v>
      </c>
      <c r="B59" s="24"/>
      <c r="C59" s="24"/>
      <c r="D59" s="24"/>
      <c r="E59" s="24"/>
      <c r="F59" s="24"/>
      <c r="G59" s="22"/>
      <c r="H59" s="22"/>
      <c r="I59" s="22"/>
    </row>
    <row r="60" spans="1:9" ht="15.75" customHeight="1">
      <c r="A60" s="24" t="s">
        <v>62</v>
      </c>
      <c r="B60" s="24"/>
      <c r="C60" s="24"/>
      <c r="D60" s="24"/>
      <c r="E60" s="24"/>
      <c r="F60" s="24"/>
      <c r="G60" s="24"/>
      <c r="H60" s="24"/>
      <c r="I60" s="24"/>
    </row>
    <row r="61" spans="1:9" ht="15.75" customHeight="1">
      <c r="A61" s="24" t="s">
        <v>63</v>
      </c>
      <c r="B61" s="24"/>
      <c r="C61" s="24"/>
      <c r="D61" s="24"/>
      <c r="E61" s="24"/>
      <c r="F61" s="24"/>
      <c r="G61" s="24"/>
      <c r="H61" s="24"/>
      <c r="I61" s="24"/>
    </row>
    <row r="72" ht="15.75" customHeight="1">
      <c r="A72" s="23"/>
    </row>
  </sheetData>
  <sheetProtection/>
  <mergeCells count="8">
    <mergeCell ref="A60:I60"/>
    <mergeCell ref="A61:I61"/>
    <mergeCell ref="A1:A2"/>
    <mergeCell ref="B1:I1"/>
    <mergeCell ref="A53:I53"/>
    <mergeCell ref="A56:I56"/>
    <mergeCell ref="A58:I58"/>
    <mergeCell ref="A59:F59"/>
  </mergeCells>
  <printOptions gridLines="1" horizontalCentered="1"/>
  <pageMargins left="0.73" right="0.74" top="0.6560416666666666" bottom="1.86" header="0.46" footer="0.83"/>
  <pageSetup firstPageNumber="319" useFirstPageNumber="1" horizontalDpi="600" verticalDpi="600" orientation="landscape" paperSize="9" scale="94" r:id="rId1"/>
  <headerFooter alignWithMargins="0">
    <oddHeader>&amp;L&amp;"Arial,Bold"&amp;12
Name of State: SIKKIM
&amp;C&amp;"Arial,Bold"&amp;12
Assets and Liabilties of the State Government&amp;R&amp;"Arial,Bold"&amp;12
Statement No 18
Rs. in Crore</oddHeader>
    <oddFooter>&amp;C&amp;P</oddFooter>
  </headerFooter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2013-12-05T06:36:24Z</cp:lastPrinted>
  <dcterms:created xsi:type="dcterms:W3CDTF">2008-02-29T08:57:57Z</dcterms:created>
  <dcterms:modified xsi:type="dcterms:W3CDTF">2013-12-05T06:36:59Z</dcterms:modified>
  <cp:category/>
  <cp:version/>
  <cp:contentType/>
  <cp:contentStatus/>
</cp:coreProperties>
</file>